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S:\DIEGR\GFEGR\CONTA GRAFICA\Acompanhamento CG\2023\11- 2023\"/>
    </mc:Choice>
  </mc:AlternateContent>
  <xr:revisionPtr revIDLastSave="0" documentId="8_{F39D436F-119A-42DC-B554-0D365A7FF1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a para publicação" sheetId="1" r:id="rId1"/>
    <sheet name="Plan1" sheetId="2" r:id="rId2"/>
  </sheet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1" l="1"/>
  <c r="Q13" i="1"/>
  <c r="Q12" i="1"/>
  <c r="Q15" i="1"/>
  <c r="Q24" i="1"/>
  <c r="Q23" i="1"/>
  <c r="Q22" i="1"/>
  <c r="Q21" i="1"/>
  <c r="Q25" i="1"/>
  <c r="Q31" i="1"/>
  <c r="Q34" i="1"/>
  <c r="Q35" i="1"/>
  <c r="Q30" i="1"/>
  <c r="Q26" i="1"/>
  <c r="Q20" i="1"/>
  <c r="Q19" i="1"/>
  <c r="P12" i="1"/>
  <c r="P14" i="1"/>
  <c r="P13" i="1"/>
  <c r="P15" i="1"/>
  <c r="P24" i="1"/>
  <c r="P22" i="1"/>
  <c r="P21" i="1"/>
  <c r="P20" i="1"/>
  <c r="P19" i="1"/>
  <c r="O26" i="1"/>
  <c r="O25" i="1"/>
  <c r="O24" i="1"/>
  <c r="O23" i="1"/>
  <c r="O22" i="1"/>
  <c r="O21" i="1"/>
  <c r="O20" i="1"/>
  <c r="O19" i="1"/>
  <c r="O15" i="1"/>
  <c r="O12" i="1"/>
  <c r="P23" i="1"/>
  <c r="P25" i="1"/>
  <c r="O30" i="1"/>
  <c r="O31" i="1"/>
  <c r="O34" i="1"/>
  <c r="O35" i="1"/>
  <c r="P26" i="1"/>
  <c r="P30" i="1"/>
  <c r="P31" i="1"/>
  <c r="P34" i="1"/>
  <c r="P35" i="1"/>
  <c r="N12" i="1"/>
  <c r="N23" i="1"/>
  <c r="N22" i="1"/>
  <c r="N21" i="1"/>
  <c r="N19" i="1"/>
  <c r="N20" i="1"/>
  <c r="N15" i="1"/>
  <c r="N25" i="1"/>
  <c r="N24" i="1"/>
  <c r="M21" i="1"/>
  <c r="M23" i="1"/>
  <c r="M22" i="1"/>
  <c r="M20" i="1"/>
  <c r="M15" i="1"/>
  <c r="M19" i="1"/>
  <c r="M25" i="1"/>
  <c r="M24" i="1"/>
  <c r="N34" i="1"/>
  <c r="N35" i="1"/>
  <c r="L26" i="1"/>
  <c r="L30" i="1"/>
  <c r="L19" i="1"/>
  <c r="L20" i="1"/>
  <c r="L14" i="1"/>
  <c r="L21" i="1"/>
  <c r="L13" i="1"/>
  <c r="L22" i="1"/>
  <c r="L12" i="1"/>
  <c r="L23" i="1"/>
  <c r="L25" i="1"/>
  <c r="L31" i="1"/>
  <c r="L24" i="1"/>
  <c r="L15" i="1"/>
  <c r="L34" i="1"/>
  <c r="L35" i="1"/>
  <c r="M26" i="1"/>
  <c r="M30" i="1"/>
  <c r="M31" i="1"/>
  <c r="M34" i="1"/>
  <c r="M35" i="1"/>
  <c r="N26" i="1"/>
  <c r="N30" i="1"/>
</calcChain>
</file>

<file path=xl/sharedStrings.xml><?xml version="1.0" encoding="utf-8"?>
<sst xmlns="http://schemas.openxmlformats.org/spreadsheetml/2006/main" count="57" uniqueCount="37">
  <si>
    <t xml:space="preserve">             Agência de Regulação de Serviços Públicos de Santa Catarina – ARESC</t>
  </si>
  <si>
    <t>Volume projetado para o semestre subsequente</t>
  </si>
  <si>
    <t>Volume projetado para o trimestre subsequente</t>
  </si>
  <si>
    <t>HISTÓRICO DA CONTA GRÁFICA</t>
  </si>
  <si>
    <t>MÊS</t>
  </si>
  <si>
    <t>IRPGT</t>
  </si>
  <si>
    <t>R$/m³</t>
  </si>
  <si>
    <t>%</t>
  </si>
  <si>
    <t>Volume</t>
  </si>
  <si>
    <t>Fatura gás sem impostos</t>
  </si>
  <si>
    <t>x1000 m³</t>
  </si>
  <si>
    <t>x1000 R$</t>
  </si>
  <si>
    <t>x 1000m³</t>
  </si>
  <si>
    <t>Compra</t>
  </si>
  <si>
    <t>Venda</t>
  </si>
  <si>
    <t>Cálculos</t>
  </si>
  <si>
    <t>Parcela de recuperação acumulada</t>
  </si>
  <si>
    <t xml:space="preserve">CONTA GRÁFICA DO GÁS NATURAL CANALIZADO - RESOLUÇÃO ARESC N° 073/2016 </t>
  </si>
  <si>
    <t>Saldo  mensal da Conta Gráfica</t>
  </si>
  <si>
    <t>Saldo anterior acumulado da Conta Gráfica</t>
  </si>
  <si>
    <t>Taxa mensal de juros selic</t>
  </si>
  <si>
    <t>Saldo mensal da correção  selic</t>
  </si>
  <si>
    <t>Saldo acumulado da Conta Gráfica</t>
  </si>
  <si>
    <t>PV sem impostos</t>
  </si>
  <si>
    <t>Gás+transporte</t>
  </si>
  <si>
    <t>Receita Encargos Vendas</t>
  </si>
  <si>
    <t>Variação Financeria saldo QPNR</t>
  </si>
  <si>
    <t>Encargos de compra</t>
  </si>
  <si>
    <t>Despesa encargos compras</t>
  </si>
  <si>
    <t>Custo médio (total)</t>
  </si>
  <si>
    <t>x 1000 R$</t>
  </si>
  <si>
    <t>Custo Reonhecido (total sem impostos)</t>
  </si>
  <si>
    <t>(PV + PR) repassado em tarifa sem impostos</t>
  </si>
  <si>
    <t>Parcela de recuperação (PR) sem impostos</t>
  </si>
  <si>
    <t>(PV + PR) fixado em tarifas</t>
  </si>
  <si>
    <t>Custo rede estruturante  (transporte/logística)</t>
  </si>
  <si>
    <t>Custo rede estruturante (tranporte/logística)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</si>
</sst>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00"/>
    <numFmt numFmtId="165" formatCode="0.0000%"/>
    <numFmt numFmtId="166" formatCode="0.0000"/>
    <numFmt numFmtId="167" formatCode="#,##0.0"/>
    <numFmt numFmtId="168" formatCode="#,##0.00_);\-#,##0.00_);\-_)"/>
    <numFmt numFmtId="169" formatCode="#,##0.0_);\-#,##0.0_);\-_)"/>
    <numFmt numFmtId="170" formatCode="#,##0_);\-#,##0_);\-_)"/>
    <numFmt numFmtId="171" formatCode="#,##0.000"/>
    <numFmt numFmtId="172" formatCode="#,##0.0000000"/>
    <numFmt numFmtId="173" formatCode="#,##0.00000000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8"/>
      <color indexed="18"/>
      <name val="Arial"/>
      <family val="2"/>
    </font>
    <font>
      <b/>
      <sz val="12"/>
      <color indexed="18"/>
      <name val="Arial"/>
      <family val="2"/>
    </font>
    <font>
      <b/>
      <sz val="14"/>
      <color indexed="8"/>
      <name val="Arial"/>
      <family val="2"/>
    </font>
    <font>
      <b/>
      <sz val="16"/>
      <name val="Arial"/>
      <family val="2"/>
    </font>
    <font>
      <u/>
      <sz val="8"/>
      <color theme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3">
    <xf numFmtId="0" fontId="0" fillId="0" borderId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2" fillId="0" borderId="0"/>
    <xf numFmtId="1" fontId="16" fillId="0" borderId="1">
      <alignment vertical="top"/>
    </xf>
    <xf numFmtId="167" fontId="19" fillId="0" borderId="0"/>
    <xf numFmtId="167" fontId="12" fillId="0" borderId="0"/>
    <xf numFmtId="170" fontId="12" fillId="0" borderId="0"/>
    <xf numFmtId="168" fontId="12" fillId="0" borderId="0"/>
    <xf numFmtId="169" fontId="17" fillId="0" borderId="0"/>
    <xf numFmtId="169" fontId="18" fillId="0" borderId="0"/>
    <xf numFmtId="167" fontId="15" fillId="0" borderId="0"/>
    <xf numFmtId="167" fontId="20" fillId="0" borderId="0"/>
    <xf numFmtId="169" fontId="16" fillId="0" borderId="3" applyAlignment="0">
      <alignment horizontal="right"/>
    </xf>
    <xf numFmtId="170" fontId="16" fillId="0" borderId="3" applyAlignment="0"/>
    <xf numFmtId="168" fontId="16" fillId="0" borderId="3" applyAlignment="0"/>
    <xf numFmtId="0" fontId="14" fillId="0" borderId="3" applyFont="0" applyFill="0" applyBorder="0" applyAlignment="0" applyProtection="0"/>
    <xf numFmtId="169" fontId="12" fillId="0" borderId="0"/>
    <xf numFmtId="169" fontId="12" fillId="0" borderId="0"/>
    <xf numFmtId="43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169" fontId="12" fillId="0" borderId="0"/>
    <xf numFmtId="169" fontId="21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1" fillId="0" borderId="0"/>
    <xf numFmtId="0" fontId="13" fillId="0" borderId="0"/>
    <xf numFmtId="169" fontId="12" fillId="0" borderId="0"/>
    <xf numFmtId="9" fontId="12" fillId="0" borderId="0" applyFont="0" applyFill="0" applyBorder="0" applyAlignment="0" applyProtection="0"/>
    <xf numFmtId="169" fontId="12" fillId="0" borderId="0"/>
    <xf numFmtId="43" fontId="1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69" fontId="12" fillId="0" borderId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2">
    <xf numFmtId="0" fontId="0" fillId="0" borderId="0" xfId="0"/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0" xfId="0" applyFont="1" applyAlignment="1">
      <alignment horizontal="center" vertical="top"/>
    </xf>
    <xf numFmtId="166" fontId="0" fillId="0" borderId="0" xfId="0" applyNumberFormat="1"/>
    <xf numFmtId="166" fontId="5" fillId="0" borderId="0" xfId="0" applyNumberFormat="1" applyFont="1"/>
    <xf numFmtId="0" fontId="10" fillId="0" borderId="0" xfId="0" applyFont="1" applyAlignment="1">
      <alignment vertical="justify"/>
    </xf>
    <xf numFmtId="164" fontId="0" fillId="0" borderId="0" xfId="0" applyNumberFormat="1"/>
    <xf numFmtId="164" fontId="9" fillId="4" borderId="20" xfId="0" applyNumberFormat="1" applyFont="1" applyFill="1" applyBorder="1"/>
    <xf numFmtId="0" fontId="3" fillId="2" borderId="16" xfId="0" applyFont="1" applyFill="1" applyBorder="1" applyAlignment="1">
      <alignment horizontal="center"/>
    </xf>
    <xf numFmtId="164" fontId="8" fillId="2" borderId="16" xfId="0" applyNumberFormat="1" applyFont="1" applyFill="1" applyBorder="1"/>
    <xf numFmtId="0" fontId="0" fillId="5" borderId="17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17" fontId="3" fillId="2" borderId="26" xfId="0" applyNumberFormat="1" applyFont="1" applyFill="1" applyBorder="1" applyAlignment="1">
      <alignment horizontal="center"/>
    </xf>
    <xf numFmtId="164" fontId="5" fillId="4" borderId="17" xfId="0" applyNumberFormat="1" applyFont="1" applyFill="1" applyBorder="1"/>
    <xf numFmtId="164" fontId="9" fillId="4" borderId="14" xfId="0" applyNumberFormat="1" applyFont="1" applyFill="1" applyBorder="1"/>
    <xf numFmtId="164" fontId="9" fillId="4" borderId="17" xfId="0" applyNumberFormat="1" applyFont="1" applyFill="1" applyBorder="1"/>
    <xf numFmtId="164" fontId="9" fillId="5" borderId="17" xfId="1" applyNumberFormat="1" applyFont="1" applyFill="1" applyBorder="1" applyAlignment="1">
      <alignment horizontal="right"/>
    </xf>
    <xf numFmtId="0" fontId="5" fillId="5" borderId="2" xfId="0" applyFont="1" applyFill="1" applyBorder="1" applyAlignment="1">
      <alignment horizontal="left"/>
    </xf>
    <xf numFmtId="0" fontId="5" fillId="5" borderId="18" xfId="0" applyFont="1" applyFill="1" applyBorder="1" applyAlignment="1">
      <alignment horizontal="left"/>
    </xf>
    <xf numFmtId="3" fontId="0" fillId="5" borderId="15" xfId="0" applyNumberFormat="1" applyFill="1" applyBorder="1" applyAlignment="1">
      <alignment horizontal="center" vertical="center" wrapText="1"/>
    </xf>
    <xf numFmtId="164" fontId="9" fillId="5" borderId="15" xfId="0" applyNumberFormat="1" applyFont="1" applyFill="1" applyBorder="1"/>
    <xf numFmtId="164" fontId="9" fillId="4" borderId="17" xfId="1" applyNumberFormat="1" applyFont="1" applyFill="1" applyBorder="1" applyAlignment="1">
      <alignment horizontal="right"/>
    </xf>
    <xf numFmtId="0" fontId="0" fillId="0" borderId="14" xfId="0" applyBorder="1" applyAlignment="1">
      <alignment horizontal="center" vertical="center" wrapText="1"/>
    </xf>
    <xf numFmtId="164" fontId="5" fillId="0" borderId="14" xfId="0" applyNumberFormat="1" applyFont="1" applyBorder="1"/>
    <xf numFmtId="164" fontId="9" fillId="0" borderId="14" xfId="0" applyNumberFormat="1" applyFont="1" applyBorder="1"/>
    <xf numFmtId="0" fontId="0" fillId="0" borderId="17" xfId="0" applyBorder="1" applyAlignment="1">
      <alignment horizontal="center"/>
    </xf>
    <xf numFmtId="165" fontId="9" fillId="0" borderId="17" xfId="1" applyNumberFormat="1" applyFont="1" applyFill="1" applyBorder="1" applyAlignment="1">
      <alignment horizontal="right"/>
    </xf>
    <xf numFmtId="164" fontId="5" fillId="0" borderId="32" xfId="0" applyNumberFormat="1" applyFont="1" applyBorder="1"/>
    <xf numFmtId="165" fontId="5" fillId="0" borderId="19" xfId="1" applyNumberFormat="1" applyFont="1" applyFill="1" applyBorder="1" applyAlignment="1">
      <alignment horizontal="right"/>
    </xf>
    <xf numFmtId="164" fontId="5" fillId="0" borderId="33" xfId="0" applyNumberFormat="1" applyFont="1" applyBorder="1"/>
    <xf numFmtId="164" fontId="5" fillId="5" borderId="35" xfId="0" applyNumberFormat="1" applyFont="1" applyFill="1" applyBorder="1"/>
    <xf numFmtId="164" fontId="9" fillId="4" borderId="29" xfId="0" applyNumberFormat="1" applyFont="1" applyFill="1" applyBorder="1"/>
    <xf numFmtId="164" fontId="5" fillId="4" borderId="19" xfId="0" applyNumberFormat="1" applyFont="1" applyFill="1" applyBorder="1"/>
    <xf numFmtId="164" fontId="8" fillId="2" borderId="36" xfId="0" applyNumberFormat="1" applyFont="1" applyFill="1" applyBorder="1"/>
    <xf numFmtId="164" fontId="23" fillId="5" borderId="36" xfId="0" applyNumberFormat="1" applyFont="1" applyFill="1" applyBorder="1"/>
    <xf numFmtId="164" fontId="23" fillId="5" borderId="16" xfId="0" applyNumberFormat="1" applyFont="1" applyFill="1" applyBorder="1"/>
    <xf numFmtId="0" fontId="22" fillId="5" borderId="17" xfId="0" applyFont="1" applyFill="1" applyBorder="1" applyAlignment="1">
      <alignment horizontal="center"/>
    </xf>
    <xf numFmtId="164" fontId="23" fillId="5" borderId="19" xfId="0" applyNumberFormat="1" applyFont="1" applyFill="1" applyBorder="1"/>
    <xf numFmtId="164" fontId="23" fillId="5" borderId="17" xfId="0" applyNumberFormat="1" applyFont="1" applyFill="1" applyBorder="1"/>
    <xf numFmtId="164" fontId="9" fillId="0" borderId="17" xfId="0" applyNumberFormat="1" applyFont="1" applyBorder="1"/>
    <xf numFmtId="166" fontId="9" fillId="5" borderId="17" xfId="1" applyNumberFormat="1" applyFont="1" applyFill="1" applyBorder="1" applyAlignment="1">
      <alignment horizontal="right"/>
    </xf>
    <xf numFmtId="0" fontId="5" fillId="4" borderId="18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164" fontId="5" fillId="0" borderId="15" xfId="0" applyNumberFormat="1" applyFont="1" applyBorder="1"/>
    <xf numFmtId="3" fontId="0" fillId="4" borderId="17" xfId="0" applyNumberFormat="1" applyFill="1" applyBorder="1" applyAlignment="1">
      <alignment horizontal="center" vertical="center" wrapText="1"/>
    </xf>
    <xf numFmtId="3" fontId="0" fillId="4" borderId="15" xfId="0" applyNumberFormat="1" applyFill="1" applyBorder="1" applyAlignment="1">
      <alignment horizontal="center" vertical="center" wrapText="1"/>
    </xf>
    <xf numFmtId="164" fontId="9" fillId="4" borderId="35" xfId="0" applyNumberFormat="1" applyFont="1" applyFill="1" applyBorder="1"/>
    <xf numFmtId="164" fontId="5" fillId="4" borderId="15" xfId="0" applyNumberFormat="1" applyFont="1" applyFill="1" applyBorder="1"/>
    <xf numFmtId="164" fontId="9" fillId="4" borderId="15" xfId="0" applyNumberFormat="1" applyFont="1" applyFill="1" applyBorder="1"/>
    <xf numFmtId="0" fontId="0" fillId="4" borderId="14" xfId="0" applyFill="1" applyBorder="1" applyAlignment="1">
      <alignment horizontal="center" vertical="center" wrapText="1"/>
    </xf>
    <xf numFmtId="164" fontId="5" fillId="4" borderId="33" xfId="0" applyNumberFormat="1" applyFont="1" applyFill="1" applyBorder="1"/>
    <xf numFmtId="171" fontId="5" fillId="4" borderId="14" xfId="0" applyNumberFormat="1" applyFont="1" applyFill="1" applyBorder="1"/>
    <xf numFmtId="0" fontId="0" fillId="0" borderId="17" xfId="0" applyBorder="1" applyAlignment="1">
      <alignment horizontal="center" wrapText="1"/>
    </xf>
    <xf numFmtId="164" fontId="9" fillId="0" borderId="29" xfId="0" applyNumberFormat="1" applyFont="1" applyBorder="1"/>
    <xf numFmtId="164" fontId="9" fillId="0" borderId="20" xfId="0" applyNumberFormat="1" applyFont="1" applyBorder="1"/>
    <xf numFmtId="164" fontId="9" fillId="0" borderId="27" xfId="0" applyNumberFormat="1" applyFont="1" applyBorder="1"/>
    <xf numFmtId="164" fontId="23" fillId="0" borderId="19" xfId="0" applyNumberFormat="1" applyFont="1" applyBorder="1"/>
    <xf numFmtId="164" fontId="23" fillId="0" borderId="17" xfId="0" applyNumberFormat="1" applyFont="1" applyBorder="1"/>
    <xf numFmtId="3" fontId="0" fillId="4" borderId="16" xfId="0" applyNumberFormat="1" applyFill="1" applyBorder="1" applyAlignment="1">
      <alignment horizontal="center" vertical="center" wrapText="1"/>
    </xf>
    <xf numFmtId="164" fontId="9" fillId="4" borderId="36" xfId="0" applyNumberFormat="1" applyFont="1" applyFill="1" applyBorder="1"/>
    <xf numFmtId="164" fontId="9" fillId="4" borderId="16" xfId="0" applyNumberFormat="1" applyFont="1" applyFill="1" applyBorder="1"/>
    <xf numFmtId="0" fontId="0" fillId="0" borderId="14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166" fontId="9" fillId="4" borderId="17" xfId="1" applyNumberFormat="1" applyFont="1" applyFill="1" applyBorder="1" applyAlignment="1">
      <alignment horizontal="right"/>
    </xf>
    <xf numFmtId="164" fontId="9" fillId="4" borderId="19" xfId="1" applyNumberFormat="1" applyFont="1" applyFill="1" applyBorder="1" applyAlignment="1">
      <alignment horizontal="right"/>
    </xf>
    <xf numFmtId="164" fontId="5" fillId="0" borderId="19" xfId="0" applyNumberFormat="1" applyFont="1" applyBorder="1"/>
    <xf numFmtId="164" fontId="5" fillId="0" borderId="17" xfId="0" applyNumberFormat="1" applyFont="1" applyBorder="1"/>
    <xf numFmtId="164" fontId="9" fillId="4" borderId="19" xfId="0" applyNumberFormat="1" applyFont="1" applyFill="1" applyBorder="1"/>
    <xf numFmtId="164" fontId="5" fillId="4" borderId="19" xfId="1" applyNumberFormat="1" applyFont="1" applyFill="1" applyBorder="1" applyAlignment="1">
      <alignment horizontal="right"/>
    </xf>
    <xf numFmtId="166" fontId="5" fillId="5" borderId="19" xfId="1" applyNumberFormat="1" applyFont="1" applyFill="1" applyBorder="1" applyAlignment="1">
      <alignment horizontal="right"/>
    </xf>
    <xf numFmtId="164" fontId="5" fillId="4" borderId="17" xfId="1" applyNumberFormat="1" applyFont="1" applyFill="1" applyBorder="1" applyAlignment="1">
      <alignment horizontal="right"/>
    </xf>
    <xf numFmtId="172" fontId="9" fillId="4" borderId="17" xfId="1" applyNumberFormat="1" applyFont="1" applyFill="1" applyBorder="1" applyAlignment="1">
      <alignment horizontal="right"/>
    </xf>
    <xf numFmtId="172" fontId="9" fillId="5" borderId="17" xfId="1" applyNumberFormat="1" applyFont="1" applyFill="1" applyBorder="1" applyAlignment="1">
      <alignment horizontal="right"/>
    </xf>
    <xf numFmtId="173" fontId="23" fillId="5" borderId="17" xfId="0" applyNumberFormat="1" applyFont="1" applyFill="1" applyBorder="1"/>
    <xf numFmtId="164" fontId="9" fillId="0" borderId="25" xfId="0" applyNumberFormat="1" applyFont="1" applyBorder="1"/>
    <xf numFmtId="0" fontId="5" fillId="0" borderId="18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4" borderId="18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0" fontId="3" fillId="2" borderId="3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5" fillId="0" borderId="34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3" fillId="5" borderId="18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left"/>
    </xf>
    <xf numFmtId="0" fontId="5" fillId="0" borderId="18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5" fillId="4" borderId="30" xfId="0" applyFont="1" applyFill="1" applyBorder="1" applyAlignment="1">
      <alignment horizontal="left" wrapText="1"/>
    </xf>
    <xf numFmtId="0" fontId="5" fillId="4" borderId="1" xfId="0" applyFont="1" applyFill="1" applyBorder="1" applyAlignment="1">
      <alignment horizontal="left" wrapText="1"/>
    </xf>
    <xf numFmtId="3" fontId="5" fillId="4" borderId="31" xfId="0" applyNumberFormat="1" applyFont="1" applyFill="1" applyBorder="1" applyAlignment="1">
      <alignment horizontal="left" vertical="center" wrapText="1"/>
    </xf>
    <xf numFmtId="3" fontId="5" fillId="4" borderId="3" xfId="0" applyNumberFormat="1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5" fillId="4" borderId="18" xfId="0" applyFont="1" applyFill="1" applyBorder="1" applyAlignment="1">
      <alignment horizontal="left" wrapText="1"/>
    </xf>
    <xf numFmtId="0" fontId="5" fillId="4" borderId="2" xfId="0" applyFont="1" applyFill="1" applyBorder="1" applyAlignment="1">
      <alignment horizontal="left" wrapText="1"/>
    </xf>
    <xf numFmtId="3" fontId="5" fillId="0" borderId="30" xfId="0" applyNumberFormat="1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left" vertical="center" wrapText="1"/>
    </xf>
    <xf numFmtId="3" fontId="5" fillId="5" borderId="18" xfId="0" applyNumberFormat="1" applyFont="1" applyFill="1" applyBorder="1" applyAlignment="1">
      <alignment horizontal="left" vertical="center" wrapText="1"/>
    </xf>
    <xf numFmtId="3" fontId="5" fillId="5" borderId="2" xfId="0" applyNumberFormat="1" applyFont="1" applyFill="1" applyBorder="1" applyAlignment="1">
      <alignment horizontal="left" vertical="center" wrapText="1"/>
    </xf>
    <xf numFmtId="3" fontId="5" fillId="4" borderId="18" xfId="0" applyNumberFormat="1" applyFont="1" applyFill="1" applyBorder="1" applyAlignment="1">
      <alignment horizontal="left" vertical="center" wrapText="1"/>
    </xf>
    <xf numFmtId="3" fontId="5" fillId="4" borderId="2" xfId="0" applyNumberFormat="1" applyFont="1" applyFill="1" applyBorder="1" applyAlignment="1">
      <alignment horizontal="left" vertical="center" wrapText="1"/>
    </xf>
    <xf numFmtId="3" fontId="3" fillId="5" borderId="31" xfId="0" applyNumberFormat="1" applyFont="1" applyFill="1" applyBorder="1" applyAlignment="1">
      <alignment horizontal="left" vertical="center" wrapText="1"/>
    </xf>
    <xf numFmtId="3" fontId="3" fillId="5" borderId="3" xfId="0" applyNumberFormat="1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textRotation="90" shrinkToFit="1"/>
    </xf>
    <xf numFmtId="0" fontId="3" fillId="3" borderId="12" xfId="0" applyFont="1" applyFill="1" applyBorder="1" applyAlignment="1">
      <alignment horizontal="center" vertical="center" textRotation="90" shrinkToFit="1"/>
    </xf>
    <xf numFmtId="0" fontId="3" fillId="3" borderId="6" xfId="0" applyFont="1" applyFill="1" applyBorder="1" applyAlignment="1">
      <alignment horizontal="center" vertical="center" textRotation="90" wrapText="1" shrinkToFit="1"/>
    </xf>
    <xf numFmtId="0" fontId="3" fillId="3" borderId="7" xfId="0" applyFont="1" applyFill="1" applyBorder="1" applyAlignment="1">
      <alignment horizontal="center" vertical="center" textRotation="90" wrapText="1" shrinkToFit="1"/>
    </xf>
    <xf numFmtId="0" fontId="3" fillId="3" borderId="8" xfId="0" applyFont="1" applyFill="1" applyBorder="1" applyAlignment="1">
      <alignment horizontal="center" vertical="center" textRotation="90" wrapText="1" shrinkToFit="1"/>
    </xf>
    <xf numFmtId="3" fontId="5" fillId="4" borderId="34" xfId="0" applyNumberFormat="1" applyFont="1" applyFill="1" applyBorder="1" applyAlignment="1">
      <alignment horizontal="left" vertical="center" wrapText="1"/>
    </xf>
    <xf numFmtId="3" fontId="5" fillId="4" borderId="25" xfId="0" applyNumberFormat="1" applyFont="1" applyFill="1" applyBorder="1" applyAlignment="1">
      <alignment horizontal="left" vertical="center" wrapText="1"/>
    </xf>
    <xf numFmtId="3" fontId="5" fillId="4" borderId="28" xfId="0" applyNumberFormat="1" applyFont="1" applyFill="1" applyBorder="1" applyAlignment="1">
      <alignment horizontal="left" vertical="center" wrapText="1"/>
    </xf>
    <xf numFmtId="0" fontId="5" fillId="0" borderId="30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3" fillId="3" borderId="13" xfId="0" applyFont="1" applyFill="1" applyBorder="1" applyAlignment="1">
      <alignment horizontal="center" vertical="center" textRotation="90" shrinkToFit="1"/>
    </xf>
    <xf numFmtId="3" fontId="22" fillId="5" borderId="16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22" fillId="0" borderId="17" xfId="0" applyFont="1" applyBorder="1" applyAlignment="1">
      <alignment horizontal="center" wrapText="1"/>
    </xf>
  </cellXfs>
  <cellStyles count="53">
    <cellStyle name="ColumnHeading" xfId="8" xr:uid="{0AF11B25-ECA1-4D8E-B1E2-2B550A4355F8}"/>
    <cellStyle name="Comma 2" xfId="23" xr:uid="{A6010A0B-FD35-4F10-A979-0BB966994AD9}"/>
    <cellStyle name="Comma 2 2" xfId="46" xr:uid="{20E2446B-B900-4F84-B0A0-830E0ABD5599}"/>
    <cellStyle name="Comma 3" xfId="34" xr:uid="{257A0A03-FC8A-4A78-9716-860DE8B71D3F}"/>
    <cellStyle name="Comma 3 2" xfId="47" xr:uid="{EC98DB5F-E197-4F9D-BDF2-0F752FCA907F}"/>
    <cellStyle name="Comma 4" xfId="37" xr:uid="{3F9E7110-7020-460D-9010-330E8F160933}"/>
    <cellStyle name="Comma 4 2" xfId="48" xr:uid="{44A87D62-FFA7-4E1C-BC31-298FB5C79AB9}"/>
    <cellStyle name="Comma 5" xfId="38" xr:uid="{06C6408A-2901-45EA-B611-04D16D77290B}"/>
    <cellStyle name="Comma 5 2" xfId="49" xr:uid="{AE851574-002D-4538-9F10-8A0A927EE52A}"/>
    <cellStyle name="CountryTitle" xfId="9" xr:uid="{D1A1ECD1-3ADC-4BA2-9F14-3C5DF58DFEC4}"/>
    <cellStyle name="Footnote" xfId="10" xr:uid="{0C38FE7B-F4D9-4AB0-9FCB-D00FA4219D8A}"/>
    <cellStyle name="Hiperlink 2" xfId="26" xr:uid="{5879BEE5-C64C-4A60-A655-E0DB14B00563}"/>
    <cellStyle name="Moeda 2" xfId="41" xr:uid="{310AB327-8B52-49AC-81C0-7CFDAAFD807A}"/>
    <cellStyle name="Moeda 2 2" xfId="51" xr:uid="{7116D84F-C253-41A9-9C63-5EB4B0EE36BE}"/>
    <cellStyle name="Moeda 3" xfId="5" xr:uid="{94CDA390-96CB-476A-B1F9-4DDB5116A360}"/>
    <cellStyle name="Moeda 3 2" xfId="44" xr:uid="{89E530E1-707D-408B-A635-85A004C281BA}"/>
    <cellStyle name="Normal" xfId="0" builtinId="0"/>
    <cellStyle name="Normal [0]" xfId="11" xr:uid="{D5792353-DEB2-4AF4-9F59-5E5F0997395D}"/>
    <cellStyle name="Normal [2]" xfId="12" xr:uid="{5F8BF1F9-9B3C-4D3E-A1FE-54849AF4A6B4}"/>
    <cellStyle name="Normal 10" xfId="22" xr:uid="{E14E1373-9789-45DE-9FF1-10F544FB4FD7}"/>
    <cellStyle name="Normal 2" xfId="2" xr:uid="{4C94EEB8-7964-423F-A3CF-B4024900B722}"/>
    <cellStyle name="Normal 2 10" xfId="31" xr:uid="{6407A7F7-F07A-452F-B809-4B66D0BC8171}"/>
    <cellStyle name="Normal 2 2" xfId="29" xr:uid="{F59CB85E-9815-4F48-B5F2-0415E689F490}"/>
    <cellStyle name="Normal 2 2 2" xfId="33" xr:uid="{E6B5A421-3CFB-493E-8E8D-DA5387211621}"/>
    <cellStyle name="Normal 2 3" xfId="36" xr:uid="{F43C0588-9E17-46C0-9AC8-776EB5D2C6C5}"/>
    <cellStyle name="Normal 2 4" xfId="21" xr:uid="{C8C12B14-8050-4D47-B7FE-90CA42D62A97}"/>
    <cellStyle name="Normal 3" xfId="27" xr:uid="{7DB72B25-D2D5-48A5-8D98-9425C66B6268}"/>
    <cellStyle name="Normal 4" xfId="30" xr:uid="{4CDFD534-F45B-45D2-ABFD-1A40D87F3ADC}"/>
    <cellStyle name="Normal 5" xfId="35" xr:uid="{71FA0D8E-1ADE-494A-938B-83B9998A9088}"/>
    <cellStyle name="Normal 6" xfId="7" xr:uid="{5E55B79F-B4E4-4812-BEB4-E995D984C309}"/>
    <cellStyle name="Normal 7" xfId="39" xr:uid="{B7EB3009-B87F-47AC-A286-09AE78661256}"/>
    <cellStyle name="Normal 95" xfId="25" xr:uid="{3B2D9E15-19E6-45AA-8536-B5B4EB854202}"/>
    <cellStyle name="Percent 2" xfId="28" xr:uid="{A3980A8C-04C0-4642-A8CF-8F5284179D11}"/>
    <cellStyle name="Percent 59" xfId="24" xr:uid="{0F0BD9A8-F213-4FB7-A894-7F1BC1CC0F2F}"/>
    <cellStyle name="Porcentagem" xfId="1" builtinId="5"/>
    <cellStyle name="Porcentagem 2" xfId="3" xr:uid="{9FCCE5DB-15DE-4EBF-90C6-F85039F3F9AA}"/>
    <cellStyle name="Porcentagem 3" xfId="32" xr:uid="{40A3AB90-BC17-4E7F-99FD-F15B9007E0AF}"/>
    <cellStyle name="RowHeading" xfId="13" xr:uid="{A4637BAC-92BA-4C08-B55B-9C93456E6323}"/>
    <cellStyle name="SubHeading" xfId="14" xr:uid="{5C197E1E-2117-4E9D-AFB0-A2D3A6BB4EB9}"/>
    <cellStyle name="SubsidTitle" xfId="15" xr:uid="{2BEDB7C0-B2C3-4038-A9AF-066FB60348F5}"/>
    <cellStyle name="Título 5" xfId="16" xr:uid="{B7D9D5BC-CDC6-411A-BFDE-4A6B61D54625}"/>
    <cellStyle name="Totals" xfId="17" xr:uid="{122943A5-4462-4E56-B419-646AED4C76EB}"/>
    <cellStyle name="Totals [0]" xfId="18" xr:uid="{6CB6519F-05E3-40B3-8461-F829E6397FE5}"/>
    <cellStyle name="Totals [2]" xfId="19" xr:uid="{EFDD389E-72CB-46D3-A891-424D732E3625}"/>
    <cellStyle name="Vírgula 2" xfId="4" xr:uid="{25CD74F8-3714-4304-A800-0B0F79091D8E}"/>
    <cellStyle name="Vírgula 2 2" xfId="40" xr:uid="{54CE9A62-368C-4062-8E18-9D2040E30A90}"/>
    <cellStyle name="Vírgula 2 2 2" xfId="50" xr:uid="{0B216C1F-3B83-4E61-8BE2-9B332076C023}"/>
    <cellStyle name="Vírgula 2 3" xfId="43" xr:uid="{3CC637E9-7DEF-4F97-9800-259A83150E90}"/>
    <cellStyle name="Vírgula 3" xfId="42" xr:uid="{F2B191D1-995A-4195-BDE7-39A8CE6FD048}"/>
    <cellStyle name="Vírgula 3 2" xfId="52" xr:uid="{FEA8F709-5A52-4FD0-966E-7BCBDA553015}"/>
    <cellStyle name="Vírgula 4" xfId="6" xr:uid="{6A64A437-B690-4AE6-BDE8-644B69E42C88}"/>
    <cellStyle name="Vírgula 4 2" xfId="45" xr:uid="{357FA93F-F369-4098-8051-3D063E2E2BCD}"/>
    <cellStyle name="Year" xfId="20" xr:uid="{59F8E0F4-1C07-4242-A749-B59AB81BE07F}"/>
  </cellStyles>
  <dxfs count="8"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theme="3" tint="0.40000610370189521"/>
          </stop>
        </gradientFill>
      </fill>
    </dxf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rgb="FF00B050"/>
          </stop>
        </gradientFill>
      </fill>
    </dxf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theme="5" tint="0.59999389629810485"/>
          </stop>
        </gradientFill>
      </fill>
    </dxf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theme="6" tint="0.59999389629810485"/>
          </stop>
        </gradientFill>
      </fill>
    </dxf>
    <dxf>
      <font>
        <b/>
        <i val="0"/>
        <color theme="1"/>
      </font>
      <fill>
        <gradientFill type="path" left="0.5" right="0.5" top="0.5" bottom="0.5">
          <stop position="0">
            <color theme="0"/>
          </stop>
          <stop position="1">
            <color theme="5" tint="0.80001220740379042"/>
          </stop>
        </gradientFill>
      </fill>
    </dxf>
    <dxf>
      <font>
        <b/>
        <color theme="1"/>
      </font>
      <border>
        <bottom style="thin">
          <color theme="7"/>
        </bottom>
        <vertical/>
        <horizontal/>
      </border>
    </dxf>
    <dxf>
      <font>
        <color theme="1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</dxfs>
  <tableStyles count="1" defaultTableStyle="TableStyleMedium2" defaultPivotStyle="PivotStyleLight16">
    <tableStyle name="SlicerStyleDark4 v2" pivot="0" table="0" count="2" xr9:uid="{19765A51-C454-43D4-B023-2CC173616DBF}">
      <tableStyleElement type="wholeTable" dxfId="7"/>
      <tableStyleElement type="header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Acompanhamento do IRPGT</a:t>
            </a:r>
          </a:p>
        </c:rich>
      </c:tx>
      <c:layout>
        <c:manualLayout>
          <c:xMode val="edge"/>
          <c:yMode val="edge"/>
          <c:x val="0.33680221873545513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435215707725748"/>
          <c:y val="0.13597943916807637"/>
          <c:w val="0.84488769386416807"/>
          <c:h val="0.76531978902963593"/>
        </c:manualLayout>
      </c:layout>
      <c:lineChart>
        <c:grouping val="standard"/>
        <c:varyColors val="0"/>
        <c:ser>
          <c:idx val="0"/>
          <c:order val="0"/>
          <c:marker>
            <c:spPr>
              <a:solidFill>
                <a:srgbClr val="FF3300"/>
              </a:solidFill>
            </c:spPr>
          </c:marker>
          <c:cat>
            <c:numRef>
              <c:f>'Tabela para publicação'!$K$10:$Q$10</c:f>
              <c:numCache>
                <c:formatCode>mmm\-yy</c:formatCode>
                <c:ptCount val="7"/>
                <c:pt idx="0">
                  <c:v>45047</c:v>
                </c:pt>
                <c:pt idx="1">
                  <c:v>45078</c:v>
                </c:pt>
                <c:pt idx="2">
                  <c:v>45108</c:v>
                </c:pt>
                <c:pt idx="3">
                  <c:v>45139</c:v>
                </c:pt>
                <c:pt idx="4">
                  <c:v>45170</c:v>
                </c:pt>
                <c:pt idx="5">
                  <c:v>45200</c:v>
                </c:pt>
                <c:pt idx="6">
                  <c:v>45231</c:v>
                </c:pt>
              </c:numCache>
            </c:numRef>
          </c:cat>
          <c:val>
            <c:numRef>
              <c:f>'Tabela para publicação'!$K$35:$Q$35</c:f>
              <c:numCache>
                <c:formatCode>#,##0.0000</c:formatCode>
                <c:ptCount val="7"/>
                <c:pt idx="0">
                  <c:v>2.0691590096093146</c:v>
                </c:pt>
                <c:pt idx="1">
                  <c:v>-0.343690818545276</c:v>
                </c:pt>
                <c:pt idx="2">
                  <c:v>-0.35493519441674976</c:v>
                </c:pt>
                <c:pt idx="3">
                  <c:v>-1.822532402791625</c:v>
                </c:pt>
                <c:pt idx="4">
                  <c:v>-2.8275174476570295</c:v>
                </c:pt>
                <c:pt idx="5">
                  <c:v>-5.3878364905284153</c:v>
                </c:pt>
                <c:pt idx="6">
                  <c:v>-5.2482552342971092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03-47BA-821B-4A07B22D0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584256"/>
        <c:axId val="95586944"/>
      </c:lineChart>
      <c:dateAx>
        <c:axId val="95584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Mês</a:t>
                </a:r>
              </a:p>
            </c:rich>
          </c:tx>
          <c:overlay val="0"/>
        </c:title>
        <c:numFmt formatCode="mmm\-yy" sourceLinked="1"/>
        <c:majorTickMark val="out"/>
        <c:minorTickMark val="none"/>
        <c:tickLblPos val="nextTo"/>
        <c:crossAx val="95586944"/>
        <c:crosses val="autoZero"/>
        <c:auto val="1"/>
        <c:lblOffset val="100"/>
        <c:baseTimeUnit val="months"/>
      </c:dateAx>
      <c:valAx>
        <c:axId val="95586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IRPGT (%)</a:t>
                </a:r>
              </a:p>
            </c:rich>
          </c:tx>
          <c:overlay val="0"/>
        </c:title>
        <c:numFmt formatCode="#,##0.0000" sourceLinked="1"/>
        <c:majorTickMark val="out"/>
        <c:minorTickMark val="none"/>
        <c:tickLblPos val="nextTo"/>
        <c:spPr>
          <a:effectLst/>
        </c:spPr>
        <c:crossAx val="95584256"/>
        <c:crosses val="autoZero"/>
        <c:crossBetween val="between"/>
      </c:valAx>
      <c:spPr>
        <a:solidFill>
          <a:schemeClr val="accent1">
            <a:lumMod val="20000"/>
            <a:lumOff val="80000"/>
          </a:schemeClr>
        </a:solidFill>
        <a:effectLst>
          <a:outerShdw blurRad="50800" dist="50800" dir="5400000" algn="ctr" rotWithShape="0">
            <a:schemeClr val="accent1">
              <a:lumMod val="20000"/>
              <a:lumOff val="80000"/>
            </a:schemeClr>
          </a:outerShdw>
        </a:effectLst>
      </c:spPr>
    </c:plotArea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>
      <a:solidFill>
        <a:schemeClr val="tx1">
          <a:tint val="75000"/>
          <a:shade val="95000"/>
          <a:satMod val="105000"/>
        </a:schemeClr>
      </a:solidFill>
    </a:ln>
    <a:effectLst>
      <a:outerShdw blurRad="50800" dist="50800" dir="5400000" algn="ctr" rotWithShape="0">
        <a:schemeClr val="accent1">
          <a:lumMod val="20000"/>
          <a:lumOff val="80000"/>
        </a:schemeClr>
      </a:outerShdw>
    </a:effectLst>
  </c:spPr>
  <c:printSettings>
    <c:headerFooter/>
    <c:pageMargins b="0.78740157499999996" l="0.511811024" r="0.511811024" t="0.78740157499999996" header="0.31496062000000002" footer="0.31496062000000002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43</xdr:row>
      <xdr:rowOff>412</xdr:rowOff>
    </xdr:from>
    <xdr:to>
      <xdr:col>17</xdr:col>
      <xdr:colOff>0</xdr:colOff>
      <xdr:row>61</xdr:row>
      <xdr:rowOff>120649</xdr:rowOff>
    </xdr:to>
    <xdr:graphicFrame macro="">
      <xdr:nvGraphicFramePr>
        <xdr:cNvPr id="4" name="Gráfico 3" title="IRPG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459223</xdr:colOff>
      <xdr:row>35</xdr:row>
      <xdr:rowOff>27216</xdr:rowOff>
    </xdr:from>
    <xdr:to>
      <xdr:col>13</xdr:col>
      <xdr:colOff>795662</xdr:colOff>
      <xdr:row>41</xdr:row>
      <xdr:rowOff>0</xdr:rowOff>
    </xdr:to>
    <xdr:sp macro="" textlink="">
      <xdr:nvSpPr>
        <xdr:cNvPr id="6" name="Seta para cim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360305" y="6714887"/>
          <a:ext cx="336439" cy="1057513"/>
        </a:xfrm>
        <a:prstGeom prst="upArrow">
          <a:avLst/>
        </a:prstGeom>
        <a:solidFill>
          <a:srgbClr val="FF0000"/>
        </a:solidFill>
        <a:ln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vert="vert270" rtlCol="0" anchor="ctr"/>
        <a:lstStyle/>
        <a:p>
          <a:pPr algn="ctr"/>
          <a:r>
            <a:rPr lang="pt-BR" sz="1200">
              <a:solidFill>
                <a:sysClr val="windowText" lastClr="000000"/>
              </a:solidFill>
            </a:rPr>
            <a:t>Apuração</a:t>
          </a:r>
        </a:p>
      </xdr:txBody>
    </xdr:sp>
    <xdr:clientData/>
  </xdr:twoCellAnchor>
  <xdr:twoCellAnchor>
    <xdr:from>
      <xdr:col>16</xdr:col>
      <xdr:colOff>377781</xdr:colOff>
      <xdr:row>35</xdr:row>
      <xdr:rowOff>23816</xdr:rowOff>
    </xdr:from>
    <xdr:to>
      <xdr:col>16</xdr:col>
      <xdr:colOff>714220</xdr:colOff>
      <xdr:row>41</xdr:row>
      <xdr:rowOff>18030</xdr:rowOff>
    </xdr:to>
    <xdr:sp macro="" textlink="">
      <xdr:nvSpPr>
        <xdr:cNvPr id="5" name="Seta para cima 4">
          <a:extLst>
            <a:ext uri="{FF2B5EF4-FFF2-40B4-BE49-F238E27FC236}">
              <a16:creationId xmlns:a16="http://schemas.microsoft.com/office/drawing/2014/main" id="{5EE0246E-5EA7-4EDA-8DB6-C082441F0B03}"/>
            </a:ext>
          </a:extLst>
        </xdr:cNvPr>
        <xdr:cNvSpPr/>
      </xdr:nvSpPr>
      <xdr:spPr>
        <a:xfrm>
          <a:off x="14990252" y="6711487"/>
          <a:ext cx="336439" cy="1078943"/>
        </a:xfrm>
        <a:prstGeom prst="upArrow">
          <a:avLst/>
        </a:prstGeom>
        <a:solidFill>
          <a:schemeClr val="accent1"/>
        </a:solidFill>
        <a:ln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vert="vert270" rtlCol="0" anchor="ctr"/>
        <a:lstStyle/>
        <a:p>
          <a:pPr algn="ctr"/>
          <a:r>
            <a:rPr lang="pt-BR" sz="1200">
              <a:solidFill>
                <a:sysClr val="windowText" lastClr="000000"/>
              </a:solidFill>
            </a:rPr>
            <a:t>Apuração</a:t>
          </a:r>
        </a:p>
      </xdr:txBody>
    </xdr:sp>
    <xdr:clientData/>
  </xdr:twoCellAnchor>
  <xdr:twoCellAnchor editAs="oneCell">
    <xdr:from>
      <xdr:col>4</xdr:col>
      <xdr:colOff>39460</xdr:colOff>
      <xdr:row>4</xdr:row>
      <xdr:rowOff>25148</xdr:rowOff>
    </xdr:from>
    <xdr:to>
      <xdr:col>5</xdr:col>
      <xdr:colOff>402771</xdr:colOff>
      <xdr:row>8</xdr:row>
      <xdr:rowOff>81939</xdr:rowOff>
    </xdr:to>
    <xdr:pic>
      <xdr:nvPicPr>
        <xdr:cNvPr id="2" name="Imagem 1" descr="Uma imagem contendo Texto&#10;&#10;Descrição gerada automaticamente">
          <a:extLst>
            <a:ext uri="{FF2B5EF4-FFF2-40B4-BE49-F238E27FC236}">
              <a16:creationId xmlns:a16="http://schemas.microsoft.com/office/drawing/2014/main" id="{2EE97277-396E-0AA0-4A12-FAAB6C757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8746" y="882398"/>
          <a:ext cx="975632" cy="6963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0.00326</cdr:x>
      <cdr:y>0.01507</cdr:y>
    </cdr:from>
    <cdr:to>
      <cdr:x>0.06068</cdr:x>
      <cdr:y>0.22128</cdr:y>
    </cdr:to>
    <cdr:pic>
      <cdr:nvPicPr>
        <cdr:cNvPr id="2" name="Imagem 1" descr="aresc">
          <a:extLst xmlns:a="http://schemas.openxmlformats.org/drawingml/2006/main">
            <a:ext uri="{FF2B5EF4-FFF2-40B4-BE49-F238E27FC236}">
              <a16:creationId xmlns:a16="http://schemas.microsoft.com/office/drawing/2014/main" id="{F94E94F2-7DEB-453E-A969-6BCEBA82ABC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r="2612" b="16129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895350" cy="6953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E1:V42"/>
  <sheetViews>
    <sheetView tabSelected="1" zoomScale="60" zoomScaleNormal="60" zoomScaleSheetLayoutView="70" workbookViewId="0">
      <selection activeCell="J40" sqref="J39:J40"/>
    </sheetView>
  </sheetViews>
  <sheetFormatPr defaultRowHeight="15" x14ac:dyDescent="0.25"/>
  <cols>
    <col min="9" max="9" width="30.28515625" customWidth="1"/>
    <col min="10" max="10" width="12.7109375" bestFit="1" customWidth="1"/>
    <col min="11" max="11" width="18.7109375" bestFit="1" customWidth="1"/>
    <col min="12" max="12" width="18" customWidth="1"/>
    <col min="13" max="13" width="19" bestFit="1" customWidth="1"/>
    <col min="14" max="14" width="26.28515625" bestFit="1" customWidth="1"/>
    <col min="15" max="15" width="20.7109375" customWidth="1"/>
    <col min="16" max="16" width="21.7109375" customWidth="1"/>
    <col min="17" max="17" width="20.5703125" bestFit="1" customWidth="1"/>
    <col min="19" max="19" width="15.85546875" bestFit="1" customWidth="1"/>
    <col min="20" max="20" width="18.7109375" bestFit="1" customWidth="1"/>
    <col min="21" max="21" width="14.42578125" bestFit="1" customWidth="1"/>
    <col min="22" max="22" width="9.85546875" bestFit="1" customWidth="1"/>
  </cols>
  <sheetData>
    <row r="1" spans="5:21" x14ac:dyDescent="0.25">
      <c r="E1" s="126" t="s">
        <v>17</v>
      </c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</row>
    <row r="2" spans="5:21" x14ac:dyDescent="0.25"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</row>
    <row r="3" spans="5:21" ht="21" x14ac:dyDescent="0.25"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5:21" ht="15.75" thickBot="1" x14ac:dyDescent="0.3">
      <c r="E4" s="1"/>
      <c r="F4" s="1"/>
      <c r="G4" s="1"/>
      <c r="H4" s="1"/>
      <c r="I4" s="1"/>
      <c r="J4" s="1"/>
    </row>
    <row r="5" spans="5:21" ht="15" customHeight="1" x14ac:dyDescent="0.25">
      <c r="E5" s="117" t="s">
        <v>0</v>
      </c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9"/>
    </row>
    <row r="6" spans="5:21" ht="15" customHeight="1" x14ac:dyDescent="0.25">
      <c r="E6" s="120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2"/>
    </row>
    <row r="7" spans="5:21" ht="15" customHeight="1" x14ac:dyDescent="0.25">
      <c r="E7" s="120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2"/>
    </row>
    <row r="8" spans="5:21" ht="5.25" customHeight="1" thickBot="1" x14ac:dyDescent="0.3">
      <c r="E8" s="123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5"/>
    </row>
    <row r="9" spans="5:21" s="2" customFormat="1" ht="21" customHeight="1" thickBot="1" x14ac:dyDescent="0.3">
      <c r="E9" s="94" t="s">
        <v>3</v>
      </c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6"/>
    </row>
    <row r="10" spans="5:21" s="2" customFormat="1" ht="21" customHeight="1" thickBot="1" x14ac:dyDescent="0.3">
      <c r="E10" s="94" t="s">
        <v>4</v>
      </c>
      <c r="F10" s="95"/>
      <c r="G10" s="95"/>
      <c r="H10" s="95"/>
      <c r="I10" s="95"/>
      <c r="J10" s="95"/>
      <c r="K10" s="13">
        <v>45047</v>
      </c>
      <c r="L10" s="13">
        <v>45078</v>
      </c>
      <c r="M10" s="13">
        <v>45108</v>
      </c>
      <c r="N10" s="13">
        <v>45139</v>
      </c>
      <c r="O10" s="13">
        <v>45170</v>
      </c>
      <c r="P10" s="13">
        <v>45200</v>
      </c>
      <c r="Q10" s="13">
        <v>45231</v>
      </c>
    </row>
    <row r="11" spans="5:21" s="2" customFormat="1" ht="21" customHeight="1" x14ac:dyDescent="0.25">
      <c r="E11" s="107" t="s">
        <v>13</v>
      </c>
      <c r="F11" s="99" t="s">
        <v>8</v>
      </c>
      <c r="G11" s="100"/>
      <c r="H11" s="100"/>
      <c r="I11" s="100"/>
      <c r="J11" s="23" t="s">
        <v>12</v>
      </c>
      <c r="K11" s="30">
        <v>49177.203000000001</v>
      </c>
      <c r="L11" s="24">
        <v>47897.042999999998</v>
      </c>
      <c r="M11" s="28">
        <v>50058.605000000003</v>
      </c>
      <c r="N11" s="25">
        <v>51337.485000000001</v>
      </c>
      <c r="O11" s="25">
        <v>49085.285000000003</v>
      </c>
      <c r="P11" s="25">
        <v>49856.315000000002</v>
      </c>
      <c r="Q11" s="24">
        <v>50064.701999999997</v>
      </c>
      <c r="S11" s="4"/>
      <c r="T11" s="5"/>
      <c r="U11" s="5"/>
    </row>
    <row r="12" spans="5:21" s="2" customFormat="1" ht="21" customHeight="1" x14ac:dyDescent="0.25">
      <c r="E12" s="108"/>
      <c r="F12" s="103" t="s">
        <v>24</v>
      </c>
      <c r="G12" s="104"/>
      <c r="H12" s="104"/>
      <c r="I12" s="104"/>
      <c r="J12" s="45" t="s">
        <v>6</v>
      </c>
      <c r="K12" s="33">
        <v>2.5718611222200001</v>
      </c>
      <c r="L12" s="14">
        <f>ROUND(2.57143965598666,4)</f>
        <v>2.5714000000000001</v>
      </c>
      <c r="M12" s="16">
        <v>2.5228000000000002</v>
      </c>
      <c r="N12" s="16">
        <f>ROUND(2.350996,4)</f>
        <v>2.351</v>
      </c>
      <c r="O12" s="16">
        <f>ROUND(2.3499864388,4)</f>
        <v>2.35</v>
      </c>
      <c r="P12" s="16">
        <f>ROUND(2.34732962605,4)+0.0001</f>
        <v>2.3474000000000004</v>
      </c>
      <c r="Q12" s="14">
        <f>ROUND(2.52611804295168,4)</f>
        <v>2.5261</v>
      </c>
      <c r="S12" s="5"/>
      <c r="T12" s="5"/>
      <c r="U12" s="5"/>
    </row>
    <row r="13" spans="5:21" s="2" customFormat="1" ht="21" customHeight="1" x14ac:dyDescent="0.25">
      <c r="E13" s="108"/>
      <c r="F13" s="101" t="s">
        <v>27</v>
      </c>
      <c r="G13" s="102"/>
      <c r="H13" s="102"/>
      <c r="I13" s="102"/>
      <c r="J13" s="20" t="s">
        <v>6</v>
      </c>
      <c r="K13" s="31">
        <v>0.11977111999999999</v>
      </c>
      <c r="L13" s="44">
        <f>ROUND(0.117166075705342,4)</f>
        <v>0.1172</v>
      </c>
      <c r="M13" s="21">
        <v>6.2100000000000002E-2</v>
      </c>
      <c r="N13" s="21">
        <v>5.0700000000000002E-2</v>
      </c>
      <c r="O13" s="21">
        <v>5.5500000000000001E-2</v>
      </c>
      <c r="P13" s="21">
        <f>ROUND(0.0635091344,4)</f>
        <v>6.3500000000000001E-2</v>
      </c>
      <c r="Q13" s="44">
        <f>ROUND(0.0467985351485763,4)</f>
        <v>4.6800000000000001E-2</v>
      </c>
      <c r="S13" s="5"/>
      <c r="T13" s="5"/>
      <c r="U13" s="5"/>
    </row>
    <row r="14" spans="5:21" s="2" customFormat="1" ht="21" customHeight="1" x14ac:dyDescent="0.25">
      <c r="E14" s="108"/>
      <c r="F14" s="103" t="s">
        <v>35</v>
      </c>
      <c r="G14" s="104"/>
      <c r="H14" s="104"/>
      <c r="I14" s="104"/>
      <c r="J14" s="46" t="s">
        <v>6</v>
      </c>
      <c r="K14" s="47">
        <v>6.2839100000000002E-3</v>
      </c>
      <c r="L14" s="48">
        <f>ROUND(0.00548996547870946,4)</f>
        <v>5.4999999999999997E-3</v>
      </c>
      <c r="M14" s="49">
        <v>5.3E-3</v>
      </c>
      <c r="N14" s="49">
        <v>5.1000000000000004E-3</v>
      </c>
      <c r="O14" s="49">
        <v>5.0000000000000001E-3</v>
      </c>
      <c r="P14" s="49">
        <f>ROUND(0.00441624,4)</f>
        <v>4.4000000000000003E-3</v>
      </c>
      <c r="Q14" s="48">
        <f>ROUND(0.00466234580368195,4)</f>
        <v>4.7000000000000002E-3</v>
      </c>
      <c r="S14" s="5"/>
      <c r="T14" s="5"/>
      <c r="U14" s="5"/>
    </row>
    <row r="15" spans="5:21" s="2" customFormat="1" ht="21" customHeight="1" thickBot="1" x14ac:dyDescent="0.3">
      <c r="E15" s="108"/>
      <c r="F15" s="105" t="s">
        <v>29</v>
      </c>
      <c r="G15" s="106"/>
      <c r="H15" s="106"/>
      <c r="I15" s="106"/>
      <c r="J15" s="128" t="s">
        <v>6</v>
      </c>
      <c r="K15" s="35">
        <v>2.6979161522199999</v>
      </c>
      <c r="L15" s="36">
        <f>ROUND(L13+L12+L14,4)</f>
        <v>2.6941000000000002</v>
      </c>
      <c r="M15" s="36">
        <f>ROUND(M13+M12+M14,4)</f>
        <v>2.5901999999999998</v>
      </c>
      <c r="N15" s="36">
        <f>ROUND(N13+N12+N14,4)</f>
        <v>2.4068000000000001</v>
      </c>
      <c r="O15" s="36">
        <f>ROUND(O13+O12+O14,4)</f>
        <v>2.4104999999999999</v>
      </c>
      <c r="P15" s="36">
        <f>ROUND(P13+P12+P14,4)</f>
        <v>2.4152999999999998</v>
      </c>
      <c r="Q15" s="36">
        <f>Q13+Q12+Q14</f>
        <v>2.5776000000000003</v>
      </c>
      <c r="S15" s="5"/>
      <c r="T15" s="5"/>
      <c r="U15" s="5"/>
    </row>
    <row r="16" spans="5:21" s="2" customFormat="1" ht="21" customHeight="1" x14ac:dyDescent="0.25">
      <c r="E16" s="107" t="s">
        <v>14</v>
      </c>
      <c r="F16" s="90" t="s">
        <v>8</v>
      </c>
      <c r="G16" s="91"/>
      <c r="H16" s="91"/>
      <c r="I16" s="91"/>
      <c r="J16" s="50" t="s">
        <v>10</v>
      </c>
      <c r="K16" s="51">
        <v>48921.161999999997</v>
      </c>
      <c r="L16" s="52">
        <v>47708.298000000003</v>
      </c>
      <c r="M16" s="15">
        <v>49757.476999999999</v>
      </c>
      <c r="N16" s="15">
        <v>50938.578000000001</v>
      </c>
      <c r="O16" s="15">
        <v>48655.981</v>
      </c>
      <c r="P16" s="15">
        <v>49565.006999999998</v>
      </c>
      <c r="Q16" s="52">
        <v>49313.756999999998</v>
      </c>
      <c r="S16" s="5"/>
      <c r="T16" s="5"/>
      <c r="U16" s="5"/>
    </row>
    <row r="17" spans="5:22" s="2" customFormat="1" ht="21" customHeight="1" x14ac:dyDescent="0.25">
      <c r="E17" s="108"/>
      <c r="F17" s="88" t="s">
        <v>23</v>
      </c>
      <c r="G17" s="89"/>
      <c r="H17" s="89"/>
      <c r="I17" s="89"/>
      <c r="J17" s="53" t="s">
        <v>6</v>
      </c>
      <c r="K17" s="54">
        <v>2.8513999999999999</v>
      </c>
      <c r="L17" s="55">
        <v>2.8513999999999999</v>
      </c>
      <c r="M17" s="56">
        <v>2.5074999999999998</v>
      </c>
      <c r="N17" s="56">
        <v>2.5074999999999998</v>
      </c>
      <c r="O17" s="56">
        <v>2.5074999999999998</v>
      </c>
      <c r="P17" s="56">
        <v>2.5074999999999998</v>
      </c>
      <c r="Q17" s="76">
        <v>2.5074999999999998</v>
      </c>
      <c r="S17" s="5"/>
      <c r="T17" s="5"/>
      <c r="U17" s="5"/>
    </row>
    <row r="18" spans="5:22" s="2" customFormat="1" ht="21" customHeight="1" x14ac:dyDescent="0.25">
      <c r="E18" s="108"/>
      <c r="F18" s="97" t="s">
        <v>33</v>
      </c>
      <c r="G18" s="98"/>
      <c r="H18" s="98"/>
      <c r="I18" s="98"/>
      <c r="J18" s="12" t="s">
        <v>6</v>
      </c>
      <c r="K18" s="32">
        <v>0.32729999999999998</v>
      </c>
      <c r="L18" s="8">
        <v>0.32729999999999998</v>
      </c>
      <c r="M18" s="8">
        <v>5.8999999999999997E-2</v>
      </c>
      <c r="N18" s="8">
        <v>5.8999999999999997E-2</v>
      </c>
      <c r="O18" s="8">
        <v>5.8999999999999997E-2</v>
      </c>
      <c r="P18" s="8">
        <v>5.8999999999999997E-2</v>
      </c>
      <c r="Q18" s="8">
        <v>5.8999999999999997E-2</v>
      </c>
      <c r="S18" s="5"/>
      <c r="T18" s="5"/>
      <c r="U18" s="5"/>
    </row>
    <row r="19" spans="5:22" s="2" customFormat="1" ht="21" customHeight="1" x14ac:dyDescent="0.25">
      <c r="E19" s="108"/>
      <c r="F19" s="129" t="s">
        <v>34</v>
      </c>
      <c r="G19" s="130"/>
      <c r="H19" s="130"/>
      <c r="I19" s="130"/>
      <c r="J19" s="131" t="s">
        <v>6</v>
      </c>
      <c r="K19" s="57">
        <v>3.1787000000000001</v>
      </c>
      <c r="L19" s="58">
        <f t="shared" ref="L19:Q19" si="0">L17+L18</f>
        <v>3.1787000000000001</v>
      </c>
      <c r="M19" s="58">
        <f t="shared" si="0"/>
        <v>2.5665</v>
      </c>
      <c r="N19" s="58">
        <f t="shared" si="0"/>
        <v>2.5665</v>
      </c>
      <c r="O19" s="58">
        <f t="shared" si="0"/>
        <v>2.5665</v>
      </c>
      <c r="P19" s="58">
        <f t="shared" si="0"/>
        <v>2.5665</v>
      </c>
      <c r="Q19" s="58">
        <f t="shared" si="0"/>
        <v>2.5665</v>
      </c>
      <c r="S19" s="5"/>
      <c r="T19" s="5"/>
      <c r="U19" s="5"/>
      <c r="V19" s="5"/>
    </row>
    <row r="20" spans="5:22" s="2" customFormat="1" ht="21" customHeight="1" thickBot="1" x14ac:dyDescent="0.3">
      <c r="E20" s="127"/>
      <c r="F20" s="92" t="s">
        <v>32</v>
      </c>
      <c r="G20" s="93"/>
      <c r="H20" s="93"/>
      <c r="I20" s="93"/>
      <c r="J20" s="59" t="s">
        <v>11</v>
      </c>
      <c r="K20" s="60">
        <v>155505.69764939998</v>
      </c>
      <c r="L20" s="61">
        <f t="shared" ref="L20:Q20" si="1">L19*L16</f>
        <v>151650.36685260001</v>
      </c>
      <c r="M20" s="61">
        <f t="shared" si="1"/>
        <v>127702.5647205</v>
      </c>
      <c r="N20" s="61">
        <f t="shared" si="1"/>
        <v>130733.86043700001</v>
      </c>
      <c r="O20" s="61">
        <f t="shared" si="1"/>
        <v>124875.57523649999</v>
      </c>
      <c r="P20" s="61">
        <f t="shared" si="1"/>
        <v>127208.59046549999</v>
      </c>
      <c r="Q20" s="61">
        <f t="shared" si="1"/>
        <v>126563.7573405</v>
      </c>
      <c r="S20" s="5"/>
      <c r="T20" s="5"/>
      <c r="U20" s="5"/>
      <c r="V20" s="5"/>
    </row>
    <row r="21" spans="5:22" s="2" customFormat="1" ht="29.25" customHeight="1" x14ac:dyDescent="0.25">
      <c r="E21" s="109" t="s">
        <v>15</v>
      </c>
      <c r="F21" s="115" t="s">
        <v>36</v>
      </c>
      <c r="G21" s="116"/>
      <c r="H21" s="116"/>
      <c r="I21" s="116"/>
      <c r="J21" s="62" t="s">
        <v>30</v>
      </c>
      <c r="K21" s="25">
        <v>307.41617910342001</v>
      </c>
      <c r="L21" s="25">
        <f t="shared" ref="L21:Q21" si="2">L14*L16</f>
        <v>262.39563900000002</v>
      </c>
      <c r="M21" s="25">
        <f t="shared" si="2"/>
        <v>263.71462809999997</v>
      </c>
      <c r="N21" s="25">
        <f t="shared" si="2"/>
        <v>259.7867478</v>
      </c>
      <c r="O21" s="25">
        <f t="shared" si="2"/>
        <v>243.27990500000001</v>
      </c>
      <c r="P21" s="25">
        <f t="shared" si="2"/>
        <v>218.0860308</v>
      </c>
      <c r="Q21" s="25">
        <f t="shared" si="2"/>
        <v>231.77465789999999</v>
      </c>
      <c r="S21" s="5"/>
      <c r="T21" s="5"/>
      <c r="U21" s="5"/>
      <c r="V21" s="5"/>
    </row>
    <row r="22" spans="5:22" s="2" customFormat="1" ht="21" customHeight="1" x14ac:dyDescent="0.25">
      <c r="E22" s="110"/>
      <c r="F22" s="97" t="s">
        <v>28</v>
      </c>
      <c r="G22" s="98"/>
      <c r="H22" s="98"/>
      <c r="I22" s="98"/>
      <c r="J22" s="12" t="s">
        <v>11</v>
      </c>
      <c r="K22" s="72">
        <v>5859.3423644414397</v>
      </c>
      <c r="L22" s="22">
        <f t="shared" ref="L22:Q22" si="3">L13*L16</f>
        <v>5591.4125256000007</v>
      </c>
      <c r="M22" s="22">
        <f t="shared" si="3"/>
        <v>3089.9393217000002</v>
      </c>
      <c r="N22" s="22">
        <f t="shared" si="3"/>
        <v>2582.5859046</v>
      </c>
      <c r="O22" s="22">
        <f t="shared" si="3"/>
        <v>2700.4069454999999</v>
      </c>
      <c r="P22" s="22">
        <f t="shared" si="3"/>
        <v>3147.3779445</v>
      </c>
      <c r="Q22" s="22">
        <f t="shared" si="3"/>
        <v>2307.8838276000001</v>
      </c>
      <c r="S22" s="5"/>
      <c r="T22" s="5"/>
      <c r="U22" s="5"/>
      <c r="V22" s="5"/>
    </row>
    <row r="23" spans="5:22" s="2" customFormat="1" ht="21" customHeight="1" x14ac:dyDescent="0.25">
      <c r="E23" s="110"/>
      <c r="F23" s="88" t="s">
        <v>9</v>
      </c>
      <c r="G23" s="89"/>
      <c r="H23" s="89"/>
      <c r="I23" s="89"/>
      <c r="J23" s="26" t="s">
        <v>11</v>
      </c>
      <c r="K23" s="40">
        <v>125818.43460162642</v>
      </c>
      <c r="L23" s="40">
        <f t="shared" ref="L23:Q23" si="4">L12*L16</f>
        <v>122677.11747720001</v>
      </c>
      <c r="M23" s="40">
        <f t="shared" si="4"/>
        <v>125528.1629756</v>
      </c>
      <c r="N23" s="40">
        <f t="shared" si="4"/>
        <v>119756.596878</v>
      </c>
      <c r="O23" s="40">
        <f t="shared" si="4"/>
        <v>114341.55535000001</v>
      </c>
      <c r="P23" s="40">
        <f t="shared" si="4"/>
        <v>116348.89743180001</v>
      </c>
      <c r="Q23" s="40">
        <f t="shared" si="4"/>
        <v>124571.4815577</v>
      </c>
      <c r="S23" s="5"/>
      <c r="T23" s="5"/>
      <c r="U23" s="5"/>
      <c r="V23" s="5"/>
    </row>
    <row r="24" spans="5:22" s="2" customFormat="1" ht="21" customHeight="1" x14ac:dyDescent="0.25">
      <c r="E24" s="110"/>
      <c r="F24" s="112" t="s">
        <v>31</v>
      </c>
      <c r="G24" s="113"/>
      <c r="H24" s="113"/>
      <c r="I24" s="114"/>
      <c r="J24" s="12" t="s">
        <v>11</v>
      </c>
      <c r="K24" s="16">
        <v>131985.19314517127</v>
      </c>
      <c r="L24" s="16">
        <f>L23+L22+L21</f>
        <v>128530.9256418</v>
      </c>
      <c r="M24" s="16">
        <f>M23+M22+M21</f>
        <v>128881.81692540001</v>
      </c>
      <c r="N24" s="16">
        <f>N23+N22+N21</f>
        <v>122598.96953039999</v>
      </c>
      <c r="O24" s="16">
        <f>O23+O22+O21</f>
        <v>117285.24220050001</v>
      </c>
      <c r="P24" s="16">
        <f>P15*P16</f>
        <v>119714.36140709999</v>
      </c>
      <c r="Q24" s="16">
        <f>Q15*Q16</f>
        <v>127111.14004320001</v>
      </c>
      <c r="S24" s="5"/>
      <c r="T24" s="5"/>
      <c r="U24" s="5"/>
      <c r="V24" s="5"/>
    </row>
    <row r="25" spans="5:22" s="2" customFormat="1" ht="21" customHeight="1" x14ac:dyDescent="0.25">
      <c r="E25" s="110"/>
      <c r="F25" s="83" t="s">
        <v>18</v>
      </c>
      <c r="G25" s="84"/>
      <c r="H25" s="84"/>
      <c r="I25" s="85"/>
      <c r="J25" s="26" t="s">
        <v>11</v>
      </c>
      <c r="K25" s="40">
        <v>-23520.504504228706</v>
      </c>
      <c r="L25" s="40">
        <f t="shared" ref="L25:Q25" si="5">L23-L20+L21+L22</f>
        <v>-23119.441210800003</v>
      </c>
      <c r="M25" s="40">
        <f t="shared" si="5"/>
        <v>1179.2522049000054</v>
      </c>
      <c r="N25" s="40">
        <f t="shared" si="5"/>
        <v>-8134.8909066000124</v>
      </c>
      <c r="O25" s="40">
        <f t="shared" si="5"/>
        <v>-7590.3330359999845</v>
      </c>
      <c r="P25" s="40">
        <f t="shared" si="5"/>
        <v>-7494.2290583999802</v>
      </c>
      <c r="Q25" s="40">
        <f t="shared" si="5"/>
        <v>547.38270269999703</v>
      </c>
      <c r="S25" s="5"/>
      <c r="T25" s="5"/>
      <c r="U25" s="5"/>
      <c r="V25" s="5"/>
    </row>
    <row r="26" spans="5:22" s="2" customFormat="1" ht="21" customHeight="1" x14ac:dyDescent="0.25">
      <c r="E26" s="110"/>
      <c r="F26" s="79" t="s">
        <v>19</v>
      </c>
      <c r="G26" s="80"/>
      <c r="H26" s="80"/>
      <c r="I26" s="80"/>
      <c r="J26" s="63" t="s">
        <v>11</v>
      </c>
      <c r="K26" s="32">
        <v>57200.231808402124</v>
      </c>
      <c r="L26" s="8">
        <f t="shared" ref="L26:Q26" si="6">K31</f>
        <v>20222.786088077195</v>
      </c>
      <c r="M26" s="8">
        <f t="shared" si="6"/>
        <v>-3173.2646926916209</v>
      </c>
      <c r="N26" s="8">
        <f t="shared" si="6"/>
        <v>-2755.8902052972699</v>
      </c>
      <c r="O26" s="8">
        <f t="shared" si="6"/>
        <v>-13680.1679581153</v>
      </c>
      <c r="P26" s="8">
        <f t="shared" si="6"/>
        <v>-20851.589998179788</v>
      </c>
      <c r="Q26" s="8">
        <f t="shared" si="6"/>
        <v>-39118.457128401613</v>
      </c>
      <c r="S26" s="5"/>
      <c r="T26" s="5"/>
      <c r="U26" s="5"/>
    </row>
    <row r="27" spans="5:22" s="2" customFormat="1" ht="21" customHeight="1" x14ac:dyDescent="0.25">
      <c r="E27" s="110"/>
      <c r="F27" s="77" t="s">
        <v>20</v>
      </c>
      <c r="G27" s="78"/>
      <c r="H27" s="78"/>
      <c r="I27" s="78"/>
      <c r="J27" s="11" t="s">
        <v>7</v>
      </c>
      <c r="K27" s="29">
        <v>1.1233E-2</v>
      </c>
      <c r="L27" s="27">
        <v>1.072E-2</v>
      </c>
      <c r="M27" s="27">
        <v>1.072E-2</v>
      </c>
      <c r="N27" s="27">
        <v>1.1375E-2</v>
      </c>
      <c r="O27" s="27">
        <v>9.7289999999999998E-3</v>
      </c>
      <c r="P27" s="27">
        <v>9.9760000000000005E-3</v>
      </c>
      <c r="Q27" s="27">
        <v>9.1599999999999997E-3</v>
      </c>
      <c r="S27" s="5"/>
      <c r="T27" s="5"/>
      <c r="U27" s="5"/>
    </row>
    <row r="28" spans="5:22" s="2" customFormat="1" ht="21" customHeight="1" x14ac:dyDescent="0.25">
      <c r="E28" s="110"/>
      <c r="F28" s="42" t="s">
        <v>25</v>
      </c>
      <c r="G28" s="43"/>
      <c r="H28" s="43"/>
      <c r="I28" s="43"/>
      <c r="J28" s="64" t="s">
        <v>11</v>
      </c>
      <c r="K28" s="70">
        <v>-5189.4954500000003</v>
      </c>
      <c r="L28" s="65">
        <v>-493.39783683299999</v>
      </c>
      <c r="M28" s="22">
        <v>-727.86032</v>
      </c>
      <c r="N28" s="22">
        <v>-4153.8153499999999</v>
      </c>
      <c r="O28" s="73">
        <v>0</v>
      </c>
      <c r="P28" s="65">
        <v>-10564.62261</v>
      </c>
      <c r="Q28" s="65">
        <v>-769.05762000000004</v>
      </c>
      <c r="S28" s="5"/>
      <c r="T28" s="5"/>
      <c r="U28" s="5"/>
    </row>
    <row r="29" spans="5:22" s="2" customFormat="1" ht="21" customHeight="1" x14ac:dyDescent="0.25">
      <c r="E29" s="110"/>
      <c r="F29" s="19" t="s">
        <v>26</v>
      </c>
      <c r="G29" s="18"/>
      <c r="H29" s="18"/>
      <c r="I29" s="18"/>
      <c r="J29" s="11" t="s">
        <v>11</v>
      </c>
      <c r="K29" s="71">
        <v>-8909.9759699999995</v>
      </c>
      <c r="L29" s="17">
        <v>0</v>
      </c>
      <c r="M29" s="17">
        <v>0</v>
      </c>
      <c r="N29" s="17">
        <v>1395.7768000000001</v>
      </c>
      <c r="O29" s="74">
        <v>552.00535000000002</v>
      </c>
      <c r="P29" s="41">
        <v>0</v>
      </c>
      <c r="Q29" s="17">
        <v>1414.44795</v>
      </c>
      <c r="S29" s="5"/>
      <c r="T29" s="5"/>
      <c r="U29" s="5"/>
    </row>
    <row r="30" spans="5:22" s="2" customFormat="1" ht="21" customHeight="1" x14ac:dyDescent="0.25">
      <c r="E30" s="110"/>
      <c r="F30" s="79" t="s">
        <v>21</v>
      </c>
      <c r="G30" s="80"/>
      <c r="H30" s="80"/>
      <c r="I30" s="80"/>
      <c r="J30" s="12" t="s">
        <v>11</v>
      </c>
      <c r="K30" s="66">
        <v>642.53020390378106</v>
      </c>
      <c r="L30" s="22">
        <f t="shared" ref="L30:Q30" si="7">L26*L27</f>
        <v>216.78826686418753</v>
      </c>
      <c r="M30" s="22">
        <f t="shared" si="7"/>
        <v>-34.017397505654181</v>
      </c>
      <c r="N30" s="22">
        <f t="shared" si="7"/>
        <v>-31.348251085256443</v>
      </c>
      <c r="O30" s="73">
        <f t="shared" si="7"/>
        <v>-133.09435406450376</v>
      </c>
      <c r="P30" s="73">
        <f t="shared" si="7"/>
        <v>-208.01546182184157</v>
      </c>
      <c r="Q30" s="73">
        <f t="shared" si="7"/>
        <v>-358.32506729615875</v>
      </c>
      <c r="S30" s="5"/>
      <c r="T30" s="5"/>
      <c r="U30" s="5"/>
    </row>
    <row r="31" spans="5:22" s="2" customFormat="1" ht="21" customHeight="1" x14ac:dyDescent="0.25">
      <c r="E31" s="110"/>
      <c r="F31" s="86" t="s">
        <v>22</v>
      </c>
      <c r="G31" s="87"/>
      <c r="H31" s="87"/>
      <c r="I31" s="87"/>
      <c r="J31" s="37" t="s">
        <v>11</v>
      </c>
      <c r="K31" s="38">
        <v>20222.786088077195</v>
      </c>
      <c r="L31" s="39">
        <f>L26+L25+L28+L29+L30</f>
        <v>-3173.2646926916209</v>
      </c>
      <c r="M31" s="39">
        <f>M26+M25+M28+M29+M30</f>
        <v>-2755.8902052972699</v>
      </c>
      <c r="N31" s="75">
        <v>-13680.1679581153</v>
      </c>
      <c r="O31" s="39">
        <f>O26+O25+O28+O29+O30</f>
        <v>-20851.589998179788</v>
      </c>
      <c r="P31" s="39">
        <f>P26+P25+P28+P29+P30</f>
        <v>-39118.457128401613</v>
      </c>
      <c r="Q31" s="39">
        <f>Q26+Q25+Q28+Q29+Q30</f>
        <v>-38284.009162997776</v>
      </c>
      <c r="S31" s="5"/>
      <c r="T31" s="5"/>
      <c r="U31" s="5"/>
    </row>
    <row r="32" spans="5:22" s="2" customFormat="1" ht="21" customHeight="1" x14ac:dyDescent="0.25">
      <c r="E32" s="110"/>
      <c r="F32" s="79" t="s">
        <v>1</v>
      </c>
      <c r="G32" s="80"/>
      <c r="H32" s="80"/>
      <c r="I32" s="80"/>
      <c r="J32" s="12" t="s">
        <v>10</v>
      </c>
      <c r="K32" s="33">
        <v>342556.77899999998</v>
      </c>
      <c r="L32" s="14">
        <v>323026.81300000002</v>
      </c>
      <c r="M32" s="14">
        <v>308767.94400000002</v>
      </c>
      <c r="N32" s="14">
        <v>299407.97499999998</v>
      </c>
      <c r="O32" s="14">
        <v>294105.10499999998</v>
      </c>
      <c r="P32" s="68">
        <v>289493.38900000002</v>
      </c>
      <c r="Q32" s="14">
        <v>290981.60800000001</v>
      </c>
      <c r="S32" s="5"/>
      <c r="T32" s="5"/>
      <c r="U32" s="5"/>
    </row>
    <row r="33" spans="5:21" s="2" customFormat="1" ht="21" customHeight="1" x14ac:dyDescent="0.25">
      <c r="E33" s="110"/>
      <c r="F33" s="77" t="s">
        <v>2</v>
      </c>
      <c r="G33" s="78"/>
      <c r="H33" s="78"/>
      <c r="I33" s="78"/>
      <c r="J33" s="26" t="s">
        <v>10</v>
      </c>
      <c r="K33" s="67">
        <v>161578.40700000001</v>
      </c>
      <c r="L33" s="68">
        <v>161578.40700000001</v>
      </c>
      <c r="M33" s="68">
        <v>157885</v>
      </c>
      <c r="N33" s="68">
        <v>153403</v>
      </c>
      <c r="O33" s="68">
        <v>147318.69699999999</v>
      </c>
      <c r="P33" s="68">
        <v>138365.696</v>
      </c>
      <c r="Q33" s="68">
        <v>139.959</v>
      </c>
      <c r="S33" s="5"/>
      <c r="T33" s="5"/>
      <c r="U33" s="5"/>
    </row>
    <row r="34" spans="5:21" s="2" customFormat="1" ht="21" customHeight="1" x14ac:dyDescent="0.25">
      <c r="E34" s="110"/>
      <c r="F34" s="79" t="s">
        <v>16</v>
      </c>
      <c r="G34" s="80"/>
      <c r="H34" s="80"/>
      <c r="I34" s="80"/>
      <c r="J34" s="12" t="s">
        <v>6</v>
      </c>
      <c r="K34" s="69">
        <v>5.8999999999999997E-2</v>
      </c>
      <c r="L34" s="16">
        <f t="shared" ref="L34:Q34" si="8">ROUND(L31/L32,4)</f>
        <v>-9.7999999999999997E-3</v>
      </c>
      <c r="M34" s="16">
        <f t="shared" si="8"/>
        <v>-8.8999999999999999E-3</v>
      </c>
      <c r="N34" s="16">
        <f t="shared" si="8"/>
        <v>-4.5699999999999998E-2</v>
      </c>
      <c r="O34" s="16">
        <f t="shared" si="8"/>
        <v>-7.0900000000000005E-2</v>
      </c>
      <c r="P34" s="16">
        <f t="shared" si="8"/>
        <v>-0.1351</v>
      </c>
      <c r="Q34" s="16">
        <f t="shared" si="8"/>
        <v>-0.13159999999999999</v>
      </c>
      <c r="S34" s="5"/>
      <c r="T34" s="5"/>
      <c r="U34" s="5"/>
    </row>
    <row r="35" spans="5:21" s="2" customFormat="1" ht="21" customHeight="1" thickBot="1" x14ac:dyDescent="0.3">
      <c r="E35" s="111"/>
      <c r="F35" s="81" t="s">
        <v>5</v>
      </c>
      <c r="G35" s="82"/>
      <c r="H35" s="82"/>
      <c r="I35" s="82"/>
      <c r="J35" s="9" t="s">
        <v>7</v>
      </c>
      <c r="K35" s="34">
        <v>2.0691590096093146</v>
      </c>
      <c r="L35" s="10">
        <f t="shared" ref="L35:Q35" si="9">L34/L17*100</f>
        <v>-0.343690818545276</v>
      </c>
      <c r="M35" s="10">
        <f t="shared" si="9"/>
        <v>-0.35493519441674976</v>
      </c>
      <c r="N35" s="10">
        <f t="shared" si="9"/>
        <v>-1.822532402791625</v>
      </c>
      <c r="O35" s="10">
        <f t="shared" si="9"/>
        <v>-2.8275174476570295</v>
      </c>
      <c r="P35" s="10">
        <f t="shared" si="9"/>
        <v>-5.3878364905284153</v>
      </c>
      <c r="Q35" s="10">
        <f t="shared" si="9"/>
        <v>-5.2482552342971092</v>
      </c>
      <c r="S35" s="5"/>
      <c r="T35" s="5"/>
      <c r="U35" s="5"/>
    </row>
    <row r="37" spans="5:21" ht="14.45" customHeight="1" x14ac:dyDescent="0.25">
      <c r="E37" s="6"/>
      <c r="F37" s="6"/>
      <c r="G37" s="6"/>
      <c r="H37" s="6"/>
      <c r="I37" s="6"/>
      <c r="J37" s="6"/>
      <c r="K37" s="6"/>
      <c r="L37" s="6"/>
      <c r="M37" s="6"/>
    </row>
    <row r="38" spans="5:21" ht="15" customHeight="1" x14ac:dyDescent="0.25">
      <c r="E38" s="6"/>
      <c r="F38" s="6"/>
      <c r="G38" s="6"/>
      <c r="H38" s="6"/>
      <c r="I38" s="6"/>
      <c r="J38" s="6"/>
      <c r="K38" s="6"/>
      <c r="L38" s="6"/>
      <c r="M38" s="6"/>
    </row>
    <row r="39" spans="5:21" x14ac:dyDescent="0.25">
      <c r="E39" s="6"/>
      <c r="F39" s="6"/>
      <c r="G39" s="6"/>
      <c r="H39" s="6"/>
      <c r="I39" s="6"/>
      <c r="J39" s="6"/>
      <c r="K39" s="6"/>
      <c r="L39" s="6"/>
      <c r="M39" s="6"/>
      <c r="S39" s="7"/>
    </row>
    <row r="40" spans="5:21" x14ac:dyDescent="0.25">
      <c r="E40" s="6"/>
      <c r="F40" s="6"/>
      <c r="G40" s="6"/>
      <c r="H40" s="6"/>
      <c r="I40" s="6"/>
      <c r="J40" s="6"/>
      <c r="K40" s="6"/>
      <c r="L40" s="6"/>
      <c r="M40" s="6"/>
    </row>
    <row r="41" spans="5:21" x14ac:dyDescent="0.25">
      <c r="E41" s="6"/>
      <c r="F41" s="6"/>
      <c r="G41" s="6"/>
      <c r="H41" s="6"/>
      <c r="I41" s="6"/>
      <c r="J41" s="6"/>
      <c r="K41" s="6"/>
      <c r="L41" s="6"/>
      <c r="M41" s="6"/>
    </row>
    <row r="42" spans="5:21" x14ac:dyDescent="0.25">
      <c r="E42" s="6"/>
      <c r="F42" s="6"/>
      <c r="G42" s="6"/>
      <c r="H42" s="6"/>
      <c r="I42" s="6"/>
      <c r="J42" s="6"/>
      <c r="K42" s="6"/>
      <c r="L42" s="6"/>
      <c r="M42" s="6"/>
    </row>
  </sheetData>
  <mergeCells count="30">
    <mergeCell ref="E10:J10"/>
    <mergeCell ref="E5:Q8"/>
    <mergeCell ref="E1:Q2"/>
    <mergeCell ref="E16:E20"/>
    <mergeCell ref="F12:I12"/>
    <mergeCell ref="F23:I23"/>
    <mergeCell ref="F16:I16"/>
    <mergeCell ref="F19:I19"/>
    <mergeCell ref="F20:I20"/>
    <mergeCell ref="E9:Q9"/>
    <mergeCell ref="F17:I17"/>
    <mergeCell ref="F18:I18"/>
    <mergeCell ref="F11:I11"/>
    <mergeCell ref="F13:I13"/>
    <mergeCell ref="F14:I14"/>
    <mergeCell ref="F15:I15"/>
    <mergeCell ref="E11:E15"/>
    <mergeCell ref="E21:E35"/>
    <mergeCell ref="F24:I24"/>
    <mergeCell ref="F21:I21"/>
    <mergeCell ref="F22:I22"/>
    <mergeCell ref="F33:I33"/>
    <mergeCell ref="F34:I34"/>
    <mergeCell ref="F35:I35"/>
    <mergeCell ref="F25:I25"/>
    <mergeCell ref="F27:I27"/>
    <mergeCell ref="F31:I31"/>
    <mergeCell ref="F32:I32"/>
    <mergeCell ref="F30:I30"/>
    <mergeCell ref="F26:I26"/>
  </mergeCells>
  <conditionalFormatting sqref="K35:Q35">
    <cfRule type="cellIs" dxfId="5" priority="1" operator="lessThan">
      <formula>0</formula>
    </cfRule>
    <cfRule type="cellIs" dxfId="4" priority="2" operator="greaterThan">
      <formula>0</formula>
    </cfRule>
    <cfRule type="cellIs" dxfId="3" priority="3" operator="greaterThan">
      <formula>0</formula>
    </cfRule>
    <cfRule type="cellIs" dxfId="2" priority="4" operator="greaterThan">
      <formula>0</formula>
    </cfRule>
    <cfRule type="cellIs" dxfId="1" priority="5" operator="lessThan">
      <formula>0</formula>
    </cfRule>
    <cfRule type="cellIs" dxfId="0" priority="6" operator="greaterThan">
      <formula>0</formula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"/>
  <sheetViews>
    <sheetView topLeftCell="A16"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Tabela para publicação</vt:lpstr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Cesconetto dos Santos</dc:creator>
  <cp:lastModifiedBy>Ricardo Cesconetto dos Santos</cp:lastModifiedBy>
  <cp:lastPrinted>2023-11-30T15:51:26Z</cp:lastPrinted>
  <dcterms:created xsi:type="dcterms:W3CDTF">2016-11-30T17:18:11Z</dcterms:created>
  <dcterms:modified xsi:type="dcterms:W3CDTF">2023-12-15T18:37:03Z</dcterms:modified>
</cp:coreProperties>
</file>